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ity-dc2\City Recorder\City Manager\Capital Improvement Planning\Street Improvement Projects\2020 BUILD Grant\Appendices\"/>
    </mc:Choice>
  </mc:AlternateContent>
  <bookViews>
    <workbookView xWindow="-110" yWindow="-110" windowWidth="19420" windowHeight="10420"/>
  </bookViews>
  <sheets>
    <sheet name="Summary" sheetId="2" r:id="rId1"/>
    <sheet name="7% With Grant" sheetId="5" r:id="rId2"/>
    <sheet name="Project Matrix" sheetId="4" r:id="rId3"/>
    <sheet name="New Home Construction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" l="1"/>
  <c r="F7" i="5"/>
  <c r="E7" i="5"/>
  <c r="D7" i="5"/>
  <c r="D15" i="8" l="1"/>
  <c r="D16" i="8"/>
  <c r="D17" i="8" s="1"/>
  <c r="D14" i="8"/>
  <c r="E14" i="8"/>
  <c r="F14" i="8" s="1"/>
  <c r="E15" i="8"/>
  <c r="F15" i="8" s="1"/>
  <c r="E16" i="8"/>
  <c r="F16" i="8" s="1"/>
  <c r="C35" i="5"/>
  <c r="AA20" i="5"/>
  <c r="E17" i="8" l="1"/>
  <c r="F17" i="8" s="1"/>
  <c r="D18" i="8"/>
  <c r="E18" i="8" l="1"/>
  <c r="F18" i="8" s="1"/>
  <c r="D19" i="8"/>
  <c r="E19" i="8" l="1"/>
  <c r="F19" i="8" s="1"/>
  <c r="D20" i="8"/>
  <c r="D21" i="8" l="1"/>
  <c r="E20" i="8"/>
  <c r="F20" i="8" s="1"/>
  <c r="E21" i="8" l="1"/>
  <c r="F21" i="8" s="1"/>
  <c r="D22" i="8"/>
  <c r="E22" i="8" l="1"/>
  <c r="F22" i="8" s="1"/>
  <c r="D23" i="8"/>
  <c r="E23" i="8" l="1"/>
  <c r="F23" i="8" s="1"/>
  <c r="D24" i="8"/>
  <c r="D25" i="8" l="1"/>
  <c r="E24" i="8"/>
  <c r="F24" i="8" s="1"/>
  <c r="E25" i="8" l="1"/>
  <c r="F25" i="8" s="1"/>
  <c r="D26" i="8"/>
  <c r="E26" i="8" l="1"/>
  <c r="F26" i="8" s="1"/>
  <c r="D27" i="8"/>
  <c r="E27" i="8" l="1"/>
  <c r="F27" i="8" s="1"/>
  <c r="D28" i="8"/>
  <c r="D29" i="8" l="1"/>
  <c r="E28" i="8"/>
  <c r="F28" i="8" s="1"/>
  <c r="E29" i="8" l="1"/>
  <c r="F29" i="8" s="1"/>
  <c r="D30" i="8"/>
  <c r="E30" i="8" l="1"/>
  <c r="F30" i="8" s="1"/>
  <c r="D31" i="8"/>
  <c r="E31" i="8" l="1"/>
  <c r="F31" i="8" s="1"/>
  <c r="D32" i="8"/>
  <c r="D33" i="8" l="1"/>
  <c r="E32" i="8"/>
  <c r="F32" i="8" s="1"/>
  <c r="E33" i="8" l="1"/>
  <c r="F33" i="8" s="1"/>
  <c r="D34" i="8"/>
  <c r="E34" i="8" l="1"/>
  <c r="F34" i="8" s="1"/>
  <c r="D35" i="8"/>
  <c r="E35" i="8" s="1"/>
  <c r="F35" i="8" s="1"/>
  <c r="E13" i="8" l="1"/>
  <c r="D13" i="8"/>
  <c r="C15" i="8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14" i="8"/>
  <c r="C13" i="8"/>
  <c r="B36" i="8"/>
  <c r="F13" i="8" l="1"/>
  <c r="C36" i="8"/>
  <c r="C30" i="5"/>
  <c r="D36" i="8" l="1"/>
  <c r="D3" i="5"/>
  <c r="D4" i="5" l="1"/>
  <c r="E4" i="5" l="1"/>
  <c r="E18" i="5" l="1"/>
  <c r="F4" i="5"/>
  <c r="F18" i="5" l="1"/>
  <c r="G4" i="5"/>
  <c r="G18" i="5" l="1"/>
  <c r="H4" i="5"/>
  <c r="H18" i="5" s="1"/>
  <c r="E3" i="5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C27" i="5" l="1"/>
  <c r="C3" i="2" s="1"/>
  <c r="I4" i="5"/>
  <c r="I18" i="5" s="1"/>
  <c r="J4" i="5" l="1"/>
  <c r="J18" i="5" s="1"/>
  <c r="K4" i="5" l="1"/>
  <c r="K18" i="5" s="1"/>
  <c r="L4" i="5" l="1"/>
  <c r="L18" i="5" s="1"/>
  <c r="M4" i="5" l="1"/>
  <c r="M18" i="5" s="1"/>
  <c r="N4" i="5" l="1"/>
  <c r="N18" i="5" s="1"/>
  <c r="O4" i="5" l="1"/>
  <c r="O18" i="5" s="1"/>
  <c r="P4" i="5" l="1"/>
  <c r="P18" i="5" s="1"/>
  <c r="Q4" i="5" l="1"/>
  <c r="Q18" i="5" s="1"/>
  <c r="R4" i="5" l="1"/>
  <c r="R18" i="5" s="1"/>
  <c r="S4" i="5" l="1"/>
  <c r="S18" i="5" s="1"/>
  <c r="T4" i="5" l="1"/>
  <c r="T18" i="5" s="1"/>
  <c r="U4" i="5" l="1"/>
  <c r="U18" i="5" s="1"/>
  <c r="V4" i="5" l="1"/>
  <c r="V18" i="5" s="1"/>
  <c r="W4" i="5" l="1"/>
  <c r="W18" i="5" s="1"/>
  <c r="F36" i="8" l="1"/>
  <c r="E36" i="8"/>
  <c r="X4" i="5"/>
  <c r="X18" i="5" s="1"/>
  <c r="Y4" i="5" l="1"/>
  <c r="Y18" i="5" s="1"/>
  <c r="Z4" i="5" l="1"/>
  <c r="Z18" i="5" s="1"/>
  <c r="AA4" i="5" l="1"/>
  <c r="AA18" i="5" s="1"/>
  <c r="C31" i="5" s="1"/>
  <c r="C7" i="2" l="1"/>
  <c r="C10" i="2" l="1"/>
  <c r="C38" i="5" l="1"/>
  <c r="C42" i="5" s="1"/>
  <c r="C12" i="2"/>
  <c r="C40" i="5" l="1"/>
  <c r="C14" i="2"/>
  <c r="C16" i="2"/>
</calcChain>
</file>

<file path=xl/sharedStrings.xml><?xml version="1.0" encoding="utf-8"?>
<sst xmlns="http://schemas.openxmlformats.org/spreadsheetml/2006/main" count="77" uniqueCount="61">
  <si>
    <t>Year:</t>
  </si>
  <si>
    <t>State of Good Repair:</t>
  </si>
  <si>
    <t>Economic Competitiveness:</t>
  </si>
  <si>
    <t>PV of Capital Costs</t>
  </si>
  <si>
    <t>PV of State of Good Repair Benefits</t>
  </si>
  <si>
    <t>PV of Economic Competitiveness Benefits</t>
  </si>
  <si>
    <t>PV of Safety Benefits</t>
  </si>
  <si>
    <t>PV of Residual Value</t>
  </si>
  <si>
    <t>PV of Benefits Total</t>
  </si>
  <si>
    <t>Net Present Value</t>
  </si>
  <si>
    <t>Benefit: Cost Ratio</t>
  </si>
  <si>
    <t>Residual Value:</t>
  </si>
  <si>
    <t>CAPITAL COSTS:</t>
  </si>
  <si>
    <t>Current Baseline &amp; Problem to be Addressed</t>
  </si>
  <si>
    <t>Type of Impacts</t>
  </si>
  <si>
    <t>Discounted Capital Costs:</t>
  </si>
  <si>
    <t>BENEFIT: COST ANALYSIS SUMMARY DATA (@ 7%)</t>
  </si>
  <si>
    <t xml:space="preserve">    Reduced Vehicle Operating Costs</t>
  </si>
  <si>
    <t xml:space="preserve">    Delay of Pavement Preservation Costs</t>
  </si>
  <si>
    <t xml:space="preserve">    Delay of Bridge Preservation Costs</t>
  </si>
  <si>
    <t>PV of Additional Maintenance Costs</t>
  </si>
  <si>
    <t>Change to Baseline -- Build Alternative</t>
  </si>
  <si>
    <t>BENEFITS:</t>
  </si>
  <si>
    <t>PV of Quality of Life Benefits</t>
  </si>
  <si>
    <t>PV of Fuel and Emissions Reduction Benefits</t>
  </si>
  <si>
    <t>EXECUTIVE SUMMARY MATRIX:</t>
  </si>
  <si>
    <t>PROJECT DISCOUNTED (@ 7%) COSTS AND BENEFITS IN 2019 $s</t>
  </si>
  <si>
    <t xml:space="preserve">   Increased Housing Development</t>
  </si>
  <si>
    <t>John Day lacks a complete street network on the north side of the City, with buildable residential and industrial lands not accessible due to inadequate arterial, collector and local street systems</t>
  </si>
  <si>
    <t>Builds 5,400 feet of new arterial streets by extending 7th Street east and west; Adds 6,282 feet of new collector streets to connect residential and industrial lands to arterials; Adds 3,354 feet of local streets to connect new housing and industrial developments and critical city infrastructure to the street grid</t>
  </si>
  <si>
    <t>John Day's bridges (Bridge St. and Patterson Rd.) are aging, structurally deficient and disconnected; bridges cannot be cost-effectively repaired or replaced without imparing traffic flow to north side of city</t>
  </si>
  <si>
    <t>New bridge crossing at 3rd Avenue with longer span length (130 feet) coupled with extension of 7th Street will connect all three bridges, allowing for eventual repair/replacement of Bridge St. and Patterson Rd.</t>
  </si>
  <si>
    <t>Increases flood resilience and decreases costs of construction for future repair of existing bridges; improves traffic flow to and from the north side of the city</t>
  </si>
  <si>
    <t>Bicycle and pedestrian infrastructure is lacking, with only one sidewalk crossing over the John Day River on Bridge St. and no multi-modal bike/ped bridges</t>
  </si>
  <si>
    <t>Constructs one new multi-modal bridge (Hill Park) and improves one inoperable bridge (Oregon Pine) for bike/ped traffic across the John Day River</t>
  </si>
  <si>
    <t>RMV *CPR</t>
  </si>
  <si>
    <t>Assumptions / Notes</t>
  </si>
  <si>
    <t>Remains constant</t>
  </si>
  <si>
    <t>New Homes</t>
  </si>
  <si>
    <t>Mill Rate remains constant</t>
  </si>
  <si>
    <t>Average Household Size</t>
  </si>
  <si>
    <t>Mill Rate (Tax Rate per $1,000 AV)</t>
  </si>
  <si>
    <t>Gross Assessed Value (AV)=</t>
  </si>
  <si>
    <t>Change Property Ratio (CPR)</t>
  </si>
  <si>
    <t>Real Market Value (RMV) per Home (Base Year)</t>
  </si>
  <si>
    <t>Formula for computing net tax value</t>
  </si>
  <si>
    <t>Utility and Value from State Shared Revenue (SSR)</t>
  </si>
  <si>
    <t>Indirect Economic Multiplier of New Housing</t>
  </si>
  <si>
    <t>Monthly per capita benefit of utility revenue and state shared revenue (increases 5% per annum)</t>
  </si>
  <si>
    <t>Assume households generate 5x their annual tax value in indirect economic benefits</t>
  </si>
  <si>
    <t>Avg. Tax Benefit/Home</t>
  </si>
  <si>
    <t>Total Economic Benefit</t>
  </si>
  <si>
    <t>Decreases bike/ped and motor vehicle interaction, reducing liklihood of collisons; Improves quality of life by increases access to John Day's public spaces</t>
  </si>
  <si>
    <t xml:space="preserve">   Long-Lived Structure Costs</t>
  </si>
  <si>
    <t>Qualitative</t>
  </si>
  <si>
    <t>Increases 3% per annum</t>
  </si>
  <si>
    <t xml:space="preserve">Average Annual Tax Benefit of New Household (FY17) = </t>
  </si>
  <si>
    <t>Net Tax Benefit (Annually)</t>
  </si>
  <si>
    <t>Net Indirect Benefit (Annually)</t>
  </si>
  <si>
    <t>Allows for development of 48-acres of residential land for new housing; puts 14-acres of new industrial land into productive use; improves traffic flow east and west on the north side of the city.</t>
  </si>
  <si>
    <t>Program Year (Year 0 =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</si>
</sst>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  <numFmt numFmtId="165" formatCode="&quot;$&quot;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>
      <alignment wrapText="1"/>
    </xf>
    <xf numFmtId="0" fontId="1" fillId="0" borderId="0"/>
    <xf numFmtId="44" fontId="1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6" fontId="2" fillId="0" borderId="0" xfId="0" applyNumberFormat="1" applyFont="1"/>
    <xf numFmtId="6" fontId="0" fillId="0" borderId="0" xfId="0" applyNumberFormat="1"/>
    <xf numFmtId="38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6" fontId="0" fillId="0" borderId="2" xfId="0" applyNumberFormat="1" applyBorder="1"/>
    <xf numFmtId="0" fontId="0" fillId="0" borderId="3" xfId="0" applyBorder="1"/>
    <xf numFmtId="0" fontId="0" fillId="0" borderId="0" xfId="0" applyBorder="1"/>
    <xf numFmtId="6" fontId="0" fillId="0" borderId="4" xfId="0" applyNumberFormat="1" applyBorder="1"/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164" fontId="0" fillId="0" borderId="7" xfId="0" applyNumberFormat="1" applyBorder="1"/>
    <xf numFmtId="38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8" xfId="0" applyFont="1" applyBorder="1"/>
    <xf numFmtId="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/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38" fontId="0" fillId="0" borderId="0" xfId="0" applyNumberFormat="1"/>
    <xf numFmtId="0" fontId="4" fillId="0" borderId="0" xfId="0" applyFont="1"/>
    <xf numFmtId="0" fontId="2" fillId="0" borderId="0" xfId="0" applyFont="1" applyBorder="1"/>
    <xf numFmtId="6" fontId="0" fillId="0" borderId="0" xfId="0" applyNumberFormat="1" applyBorder="1"/>
    <xf numFmtId="164" fontId="0" fillId="0" borderId="0" xfId="0" applyNumberFormat="1" applyBorder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0" borderId="0" xfId="0" applyFill="1"/>
    <xf numFmtId="38" fontId="4" fillId="0" borderId="0" xfId="0" applyNumberFormat="1" applyFont="1" applyAlignment="1">
      <alignment horizontal="center"/>
    </xf>
    <xf numFmtId="165" fontId="0" fillId="0" borderId="0" xfId="0" applyNumberFormat="1"/>
    <xf numFmtId="38" fontId="6" fillId="0" borderId="0" xfId="0" applyNumberFormat="1" applyFont="1" applyAlignment="1">
      <alignment horizontal="center"/>
    </xf>
    <xf numFmtId="0" fontId="4" fillId="0" borderId="3" xfId="0" applyFont="1" applyBorder="1"/>
    <xf numFmtId="0" fontId="9" fillId="0" borderId="0" xfId="1" applyFont="1"/>
    <xf numFmtId="0" fontId="10" fillId="0" borderId="0" xfId="2">
      <alignment wrapText="1"/>
    </xf>
    <xf numFmtId="0" fontId="8" fillId="0" borderId="0" xfId="1" applyFont="1"/>
    <xf numFmtId="49" fontId="11" fillId="0" borderId="0" xfId="3" applyNumberFormat="1" applyFont="1" applyFill="1" applyBorder="1" applyAlignment="1"/>
    <xf numFmtId="3" fontId="7" fillId="0" borderId="0" xfId="0" applyNumberFormat="1" applyFont="1" applyAlignment="1">
      <alignment horizontal="center"/>
    </xf>
    <xf numFmtId="8" fontId="0" fillId="0" borderId="2" xfId="0" applyNumberFormat="1" applyBorder="1"/>
    <xf numFmtId="0" fontId="12" fillId="0" borderId="0" xfId="1" applyFont="1"/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14" fillId="0" borderId="0" xfId="0" applyFont="1"/>
    <xf numFmtId="6" fontId="0" fillId="0" borderId="0" xfId="0" applyNumberForma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8" fontId="0" fillId="0" borderId="0" xfId="0" applyNumberFormat="1"/>
    <xf numFmtId="8" fontId="4" fillId="0" borderId="0" xfId="0" applyNumberFormat="1" applyFont="1" applyAlignment="1">
      <alignment horizontal="left"/>
    </xf>
    <xf numFmtId="44" fontId="4" fillId="0" borderId="0" xfId="4" applyFont="1" applyAlignment="1">
      <alignment horizontal="left"/>
    </xf>
    <xf numFmtId="2" fontId="4" fillId="0" borderId="0" xfId="4" applyNumberFormat="1" applyFont="1" applyAlignment="1">
      <alignment horizontal="left"/>
    </xf>
    <xf numFmtId="8" fontId="4" fillId="0" borderId="0" xfId="0" applyNumberFormat="1" applyFont="1"/>
    <xf numFmtId="6" fontId="4" fillId="0" borderId="4" xfId="0" applyNumberFormat="1" applyFont="1" applyBorder="1" applyAlignment="1">
      <alignment horizontal="right"/>
    </xf>
    <xf numFmtId="6" fontId="0" fillId="0" borderId="4" xfId="0" applyNumberFormat="1" applyBorder="1" applyAlignment="1">
      <alignment horizontal="right"/>
    </xf>
  </cellXfs>
  <cellStyles count="5">
    <cellStyle name="Currency" xfId="4" builtinId="4"/>
    <cellStyle name="Normal" xfId="0" builtinId="0"/>
    <cellStyle name="Normal 3" xfId="1"/>
    <cellStyle name="Normal 3 4" xfId="3"/>
    <cellStyle name="Normal 7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13" sqref="E13"/>
    </sheetView>
  </sheetViews>
  <sheetFormatPr defaultRowHeight="12.5" x14ac:dyDescent="0.25"/>
  <cols>
    <col min="1" max="1" width="37.7265625" customWidth="1"/>
    <col min="2" max="2" width="3.7265625" customWidth="1"/>
    <col min="3" max="3" width="17.7265625" customWidth="1"/>
  </cols>
  <sheetData>
    <row r="1" spans="1:5" ht="13" x14ac:dyDescent="0.3">
      <c r="A1" s="35" t="s">
        <v>16</v>
      </c>
      <c r="B1" s="36"/>
      <c r="C1" s="36"/>
    </row>
    <row r="2" spans="1:5" ht="13" thickBot="1" x14ac:dyDescent="0.3"/>
    <row r="3" spans="1:5" ht="13" x14ac:dyDescent="0.3">
      <c r="A3" s="22" t="s">
        <v>3</v>
      </c>
      <c r="B3" s="10"/>
      <c r="C3" s="47">
        <f>'7% With Grant'!C27</f>
        <v>-16986723.308889229</v>
      </c>
      <c r="E3" s="37"/>
    </row>
    <row r="4" spans="1:5" x14ac:dyDescent="0.25">
      <c r="A4" s="12"/>
      <c r="B4" s="13"/>
      <c r="C4" s="14"/>
    </row>
    <row r="5" spans="1:5" x14ac:dyDescent="0.25">
      <c r="A5" s="12"/>
      <c r="B5" s="13"/>
      <c r="C5" s="14"/>
    </row>
    <row r="6" spans="1:5" x14ac:dyDescent="0.25">
      <c r="A6" s="12" t="s">
        <v>4</v>
      </c>
      <c r="B6" s="13"/>
      <c r="C6" s="66" t="s">
        <v>54</v>
      </c>
    </row>
    <row r="7" spans="1:5" x14ac:dyDescent="0.25">
      <c r="A7" s="12" t="s">
        <v>5</v>
      </c>
      <c r="B7" s="13"/>
      <c r="C7" s="67">
        <f>'7% With Grant'!C31</f>
        <v>18194316.820882477</v>
      </c>
    </row>
    <row r="8" spans="1:5" x14ac:dyDescent="0.25">
      <c r="A8" s="41" t="s">
        <v>23</v>
      </c>
      <c r="B8" s="13"/>
      <c r="C8" s="66" t="s">
        <v>54</v>
      </c>
    </row>
    <row r="9" spans="1:5" x14ac:dyDescent="0.25">
      <c r="A9" s="12" t="s">
        <v>6</v>
      </c>
      <c r="B9" s="13"/>
      <c r="C9" s="66" t="s">
        <v>54</v>
      </c>
    </row>
    <row r="10" spans="1:5" x14ac:dyDescent="0.25">
      <c r="A10" s="12" t="s">
        <v>7</v>
      </c>
      <c r="B10" s="13"/>
      <c r="C10" s="14">
        <f>'7% With Grant'!C35</f>
        <v>246433.27493599546</v>
      </c>
    </row>
    <row r="11" spans="1:5" x14ac:dyDescent="0.25">
      <c r="A11" s="12"/>
      <c r="B11" s="13"/>
      <c r="C11" s="14"/>
    </row>
    <row r="12" spans="1:5" ht="13" x14ac:dyDescent="0.3">
      <c r="A12" s="15" t="s">
        <v>8</v>
      </c>
      <c r="B12" s="13"/>
      <c r="C12" s="14">
        <f>SUM(C6:C10)</f>
        <v>18440750.095818471</v>
      </c>
    </row>
    <row r="13" spans="1:5" x14ac:dyDescent="0.25">
      <c r="A13" s="12"/>
      <c r="B13" s="13"/>
      <c r="C13" s="14"/>
    </row>
    <row r="14" spans="1:5" ht="13" x14ac:dyDescent="0.3">
      <c r="A14" s="15" t="s">
        <v>9</v>
      </c>
      <c r="B14" s="13"/>
      <c r="C14" s="14">
        <f>C12+C3</f>
        <v>1454026.7869292423</v>
      </c>
    </row>
    <row r="15" spans="1:5" x14ac:dyDescent="0.25">
      <c r="A15" s="12"/>
      <c r="B15" s="13"/>
      <c r="C15" s="16"/>
    </row>
    <row r="16" spans="1:5" ht="13.5" thickBot="1" x14ac:dyDescent="0.35">
      <c r="A16" s="17" t="s">
        <v>10</v>
      </c>
      <c r="B16" s="18"/>
      <c r="C16" s="19">
        <f>C12/-C3</f>
        <v>1.0855978378224564</v>
      </c>
    </row>
    <row r="19" spans="1:3" ht="13" x14ac:dyDescent="0.3">
      <c r="A19" s="8"/>
      <c r="B19" s="9"/>
      <c r="C19" s="9"/>
    </row>
    <row r="21" spans="1:3" ht="13" x14ac:dyDescent="0.3">
      <c r="A21" s="32"/>
      <c r="B21" s="13"/>
      <c r="C21" s="33"/>
    </row>
    <row r="22" spans="1:3" x14ac:dyDescent="0.25">
      <c r="A22" s="13"/>
      <c r="B22" s="13"/>
      <c r="C22" s="33"/>
    </row>
    <row r="23" spans="1:3" x14ac:dyDescent="0.25">
      <c r="A23" s="13"/>
      <c r="B23" s="13"/>
      <c r="C23" s="33"/>
    </row>
    <row r="24" spans="1:3" x14ac:dyDescent="0.25">
      <c r="A24" s="13"/>
      <c r="B24" s="13"/>
      <c r="C24" s="33"/>
    </row>
    <row r="25" spans="1:3" x14ac:dyDescent="0.25">
      <c r="A25" s="13"/>
      <c r="B25" s="13"/>
      <c r="C25" s="33"/>
    </row>
    <row r="26" spans="1:3" x14ac:dyDescent="0.25">
      <c r="A26" s="13"/>
      <c r="B26" s="13"/>
      <c r="C26" s="33"/>
    </row>
    <row r="27" spans="1:3" x14ac:dyDescent="0.25">
      <c r="A27" s="13"/>
      <c r="B27" s="13"/>
      <c r="C27" s="33"/>
    </row>
    <row r="28" spans="1:3" x14ac:dyDescent="0.25">
      <c r="A28" s="13"/>
      <c r="B28" s="13"/>
      <c r="C28" s="33"/>
    </row>
    <row r="29" spans="1:3" x14ac:dyDescent="0.25">
      <c r="A29" s="13"/>
      <c r="B29" s="13"/>
      <c r="C29" s="33"/>
    </row>
    <row r="30" spans="1:3" x14ac:dyDescent="0.25">
      <c r="A30" s="13"/>
      <c r="B30" s="13"/>
      <c r="C30" s="33"/>
    </row>
    <row r="31" spans="1:3" x14ac:dyDescent="0.25">
      <c r="A31" s="13"/>
      <c r="B31" s="13"/>
      <c r="C31" s="33"/>
    </row>
    <row r="32" spans="1:3" ht="13" x14ac:dyDescent="0.3">
      <c r="A32" s="32"/>
      <c r="B32" s="13"/>
      <c r="C32" s="33"/>
    </row>
    <row r="33" spans="1:3" x14ac:dyDescent="0.25">
      <c r="A33" s="13"/>
      <c r="B33" s="13"/>
      <c r="C33" s="33"/>
    </row>
    <row r="34" spans="1:3" ht="13" x14ac:dyDescent="0.3">
      <c r="A34" s="32"/>
      <c r="B34" s="13"/>
      <c r="C34" s="33"/>
    </row>
    <row r="35" spans="1:3" x14ac:dyDescent="0.25">
      <c r="A35" s="13"/>
      <c r="B35" s="13"/>
      <c r="C35" s="13"/>
    </row>
    <row r="36" spans="1:3" ht="13" x14ac:dyDescent="0.3">
      <c r="A36" s="32"/>
      <c r="B36" s="13"/>
      <c r="C36" s="34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workbookViewId="0">
      <selection activeCell="E18" sqref="E18"/>
    </sheetView>
  </sheetViews>
  <sheetFormatPr defaultRowHeight="13" x14ac:dyDescent="0.3"/>
  <cols>
    <col min="1" max="1" width="53.90625" style="3" bestFit="1" customWidth="1"/>
    <col min="2" max="2" width="9.7265625" customWidth="1"/>
    <col min="3" max="4" width="13.7265625" customWidth="1"/>
    <col min="5" max="5" width="18.54296875" style="1" bestFit="1" customWidth="1"/>
    <col min="6" max="7" width="13.7265625" style="1" customWidth="1"/>
    <col min="8" max="19" width="11.7265625" style="1" customWidth="1"/>
    <col min="20" max="23" width="13.1796875" style="1" bestFit="1" customWidth="1"/>
    <col min="24" max="26" width="13.7265625" customWidth="1"/>
    <col min="27" max="27" width="14.1796875" bestFit="1" customWidth="1"/>
    <col min="28" max="28" width="13.7265625" customWidth="1"/>
    <col min="32" max="32" width="11.7265625" customWidth="1"/>
  </cols>
  <sheetData>
    <row r="1" spans="1:32" x14ac:dyDescent="0.3">
      <c r="A1" s="8" t="s">
        <v>26</v>
      </c>
      <c r="B1" s="9"/>
      <c r="C1" s="9"/>
      <c r="D1" s="9"/>
      <c r="E1" s="9"/>
      <c r="F1" s="9"/>
      <c r="W1"/>
    </row>
    <row r="2" spans="1:32" x14ac:dyDescent="0.3">
      <c r="A2" s="8"/>
      <c r="B2" s="9"/>
      <c r="C2" s="9"/>
      <c r="D2" s="9"/>
      <c r="E2" s="9"/>
      <c r="F2" s="9"/>
      <c r="W2"/>
    </row>
    <row r="3" spans="1:32" x14ac:dyDescent="0.3">
      <c r="B3" s="1"/>
      <c r="C3" s="1">
        <v>2019</v>
      </c>
      <c r="D3" s="1">
        <f>C3+1</f>
        <v>2020</v>
      </c>
      <c r="E3" s="1">
        <f t="shared" ref="E3:AA4" si="0">D3+1</f>
        <v>2021</v>
      </c>
      <c r="F3" s="1">
        <f t="shared" si="0"/>
        <v>2022</v>
      </c>
      <c r="G3" s="1">
        <f t="shared" si="0"/>
        <v>2023</v>
      </c>
      <c r="H3" s="1">
        <f t="shared" si="0"/>
        <v>2024</v>
      </c>
      <c r="I3" s="1">
        <f t="shared" si="0"/>
        <v>2025</v>
      </c>
      <c r="J3" s="1">
        <f t="shared" si="0"/>
        <v>2026</v>
      </c>
      <c r="K3" s="1">
        <f t="shared" si="0"/>
        <v>2027</v>
      </c>
      <c r="L3" s="1">
        <f t="shared" si="0"/>
        <v>2028</v>
      </c>
      <c r="M3" s="1">
        <f t="shared" si="0"/>
        <v>2029</v>
      </c>
      <c r="N3" s="1">
        <f t="shared" si="0"/>
        <v>2030</v>
      </c>
      <c r="O3" s="1">
        <f t="shared" si="0"/>
        <v>2031</v>
      </c>
      <c r="P3" s="1">
        <f t="shared" si="0"/>
        <v>2032</v>
      </c>
      <c r="Q3" s="1">
        <f t="shared" si="0"/>
        <v>2033</v>
      </c>
      <c r="R3" s="1">
        <f t="shared" si="0"/>
        <v>2034</v>
      </c>
      <c r="S3" s="1">
        <f t="shared" si="0"/>
        <v>2035</v>
      </c>
      <c r="T3" s="1">
        <f t="shared" si="0"/>
        <v>2036</v>
      </c>
      <c r="U3" s="1">
        <f t="shared" si="0"/>
        <v>2037</v>
      </c>
      <c r="V3" s="1">
        <f t="shared" si="0"/>
        <v>2038</v>
      </c>
      <c r="W3" s="1">
        <f t="shared" si="0"/>
        <v>2039</v>
      </c>
      <c r="X3" s="1">
        <f t="shared" si="0"/>
        <v>2040</v>
      </c>
      <c r="Y3" s="1">
        <f t="shared" si="0"/>
        <v>2041</v>
      </c>
      <c r="Z3" s="1">
        <f t="shared" si="0"/>
        <v>2042</v>
      </c>
      <c r="AA3" s="1">
        <f t="shared" si="0"/>
        <v>2043</v>
      </c>
      <c r="AB3" s="1"/>
      <c r="AC3" s="1"/>
      <c r="AD3" s="1"/>
      <c r="AE3" s="1"/>
      <c r="AF3" s="1"/>
    </row>
    <row r="4" spans="1:32" s="1" customFormat="1" x14ac:dyDescent="0.3">
      <c r="A4" s="2"/>
      <c r="B4" s="2" t="s">
        <v>0</v>
      </c>
      <c r="C4" s="1">
        <v>0</v>
      </c>
      <c r="D4" s="1">
        <f>C4+1</f>
        <v>1</v>
      </c>
      <c r="E4" s="1">
        <f t="shared" si="0"/>
        <v>2</v>
      </c>
      <c r="F4" s="1">
        <f t="shared" si="0"/>
        <v>3</v>
      </c>
      <c r="G4" s="1">
        <f t="shared" si="0"/>
        <v>4</v>
      </c>
      <c r="H4" s="1">
        <f t="shared" si="0"/>
        <v>5</v>
      </c>
      <c r="I4" s="1">
        <f t="shared" si="0"/>
        <v>6</v>
      </c>
      <c r="J4" s="1">
        <f t="shared" si="0"/>
        <v>7</v>
      </c>
      <c r="K4" s="1">
        <f t="shared" si="0"/>
        <v>8</v>
      </c>
      <c r="L4" s="1">
        <f t="shared" si="0"/>
        <v>9</v>
      </c>
      <c r="M4" s="1">
        <f t="shared" si="0"/>
        <v>10</v>
      </c>
      <c r="N4" s="1">
        <f t="shared" si="0"/>
        <v>11</v>
      </c>
      <c r="O4" s="1">
        <f t="shared" si="0"/>
        <v>12</v>
      </c>
      <c r="P4" s="1">
        <f t="shared" si="0"/>
        <v>13</v>
      </c>
      <c r="Q4" s="1">
        <f t="shared" si="0"/>
        <v>14</v>
      </c>
      <c r="R4" s="1">
        <f t="shared" si="0"/>
        <v>15</v>
      </c>
      <c r="S4" s="1">
        <f t="shared" si="0"/>
        <v>16</v>
      </c>
      <c r="T4" s="1">
        <f t="shared" si="0"/>
        <v>17</v>
      </c>
      <c r="U4" s="1">
        <f t="shared" si="0"/>
        <v>18</v>
      </c>
      <c r="V4" s="1">
        <f t="shared" si="0"/>
        <v>19</v>
      </c>
      <c r="W4" s="1">
        <f t="shared" si="0"/>
        <v>20</v>
      </c>
      <c r="X4" s="1">
        <f t="shared" si="0"/>
        <v>21</v>
      </c>
      <c r="Y4" s="1">
        <f t="shared" si="0"/>
        <v>22</v>
      </c>
      <c r="Z4" s="1">
        <f t="shared" ref="Z4:AA4" si="1">Y4+1</f>
        <v>23</v>
      </c>
      <c r="AA4" s="1">
        <f t="shared" si="1"/>
        <v>24</v>
      </c>
    </row>
    <row r="5" spans="1:32" s="1" customFormat="1" x14ac:dyDescent="0.3">
      <c r="A5" s="2" t="s">
        <v>12</v>
      </c>
      <c r="B5" s="2"/>
      <c r="C5" s="2"/>
    </row>
    <row r="6" spans="1:32" s="1" customFormat="1" x14ac:dyDescent="0.3">
      <c r="A6" s="2"/>
      <c r="B6" s="2"/>
      <c r="C6" s="2"/>
    </row>
    <row r="7" spans="1:32" s="5" customFormat="1" x14ac:dyDescent="0.3">
      <c r="A7" s="4" t="s">
        <v>15</v>
      </c>
      <c r="C7" s="6"/>
      <c r="D7" s="6">
        <f>-6238662/(1.07^D$4)</f>
        <v>-5830525.2336448599</v>
      </c>
      <c r="E7" s="6">
        <f>-6238662/(1.07^E$4)</f>
        <v>-5449089.003406411</v>
      </c>
      <c r="F7" s="6">
        <f>-3613940/(1.07^F$4)</f>
        <v>-2950051.5492109256</v>
      </c>
      <c r="G7" s="6">
        <f>-3613940/(1.07^G$4)</f>
        <v>-2757057.5226270333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40"/>
    </row>
    <row r="8" spans="1:32" x14ac:dyDescent="0.3">
      <c r="D8" s="1"/>
      <c r="H8" s="6"/>
      <c r="W8"/>
    </row>
    <row r="9" spans="1:32" x14ac:dyDescent="0.3"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/>
    </row>
    <row r="10" spans="1:32" x14ac:dyDescent="0.3">
      <c r="A10" s="2" t="s">
        <v>22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/>
    </row>
    <row r="11" spans="1:32" x14ac:dyDescent="0.3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/>
    </row>
    <row r="12" spans="1:32" x14ac:dyDescent="0.3">
      <c r="A12" s="3" t="s">
        <v>1</v>
      </c>
      <c r="D12" s="6"/>
      <c r="E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/>
    </row>
    <row r="13" spans="1:32" x14ac:dyDescent="0.3">
      <c r="A13" s="3" t="s">
        <v>17</v>
      </c>
      <c r="F13" s="21"/>
      <c r="G13" s="46"/>
      <c r="H13" s="46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32" x14ac:dyDescent="0.3">
      <c r="A14" s="3" t="s">
        <v>18</v>
      </c>
      <c r="D14" s="6"/>
      <c r="E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/>
    </row>
    <row r="15" spans="1:32" x14ac:dyDescent="0.3">
      <c r="A15" s="3" t="s">
        <v>19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/>
      <c r="AF15" s="39"/>
    </row>
    <row r="16" spans="1:32" x14ac:dyDescent="0.3">
      <c r="D16" s="1"/>
      <c r="W16"/>
    </row>
    <row r="17" spans="1:28" x14ac:dyDescent="0.3">
      <c r="A17" s="3" t="s"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/>
    </row>
    <row r="18" spans="1:28" x14ac:dyDescent="0.3">
      <c r="A18" s="3" t="s">
        <v>27</v>
      </c>
      <c r="E18" s="61">
        <f>'New Home Construction'!F13/1.07^E4</f>
        <v>87205.592955716653</v>
      </c>
      <c r="F18" s="61">
        <f>'New Home Construction'!F14/1.07^F4</f>
        <v>165446.124953369</v>
      </c>
      <c r="G18" s="61">
        <f>'New Home Construction'!F15/1.07^G4</f>
        <v>235429.96529550583</v>
      </c>
      <c r="H18" s="61">
        <f>'New Home Construction'!F16/1.07^H4</f>
        <v>297814.58548030228</v>
      </c>
      <c r="I18" s="61">
        <f>'New Home Construction'!F17/1.07^I4</f>
        <v>378169.61627089739</v>
      </c>
      <c r="J18" s="61">
        <f>'New Home Construction'!F18/1.07^J4</f>
        <v>449535.50568373199</v>
      </c>
      <c r="K18" s="61">
        <f>'New Home Construction'!F19/1.07^K4</f>
        <v>512639.85250817536</v>
      </c>
      <c r="L18" s="61">
        <f>'New Home Construction'!F20/1.07^L4</f>
        <v>590421.13322344108</v>
      </c>
      <c r="M18" s="61">
        <f>'New Home Construction'!F21/1.07^M4</f>
        <v>658952.48090769153</v>
      </c>
      <c r="N18" s="61">
        <f>'New Home Construction'!F22/1.07^N4</f>
        <v>718994.59914355155</v>
      </c>
      <c r="O18" s="61">
        <f>'New Home Construction'!F23/1.07^O4</f>
        <v>791111.61843045126</v>
      </c>
      <c r="P18" s="61">
        <f>'New Home Construction'!F24/1.07^P4</f>
        <v>854056.34489905217</v>
      </c>
      <c r="Q18" s="61">
        <f>'New Home Construction'!F25/1.07^Q4</f>
        <v>908595.35310670489</v>
      </c>
      <c r="R18" s="65">
        <f>'New Home Construction'!F26/1.07^R4</f>
        <v>955438.8429007337</v>
      </c>
      <c r="S18" s="61">
        <f>'New Home Construction'!F27/1.07^S4</f>
        <v>1012296.403885297</v>
      </c>
      <c r="T18" s="61">
        <f>'New Home Construction'!F28/1.07^T4</f>
        <v>1060972.1466429364</v>
      </c>
      <c r="U18" s="61">
        <f>'New Home Construction'!F29/1.07^U4</f>
        <v>1102168.1402054906</v>
      </c>
      <c r="V18" s="61">
        <f>'New Home Construction'!F30/1.07^V4</f>
        <v>1136534.2879711078</v>
      </c>
      <c r="W18" s="61">
        <f>'New Home Construction'!F31/1.07^W4</f>
        <v>1179313.4586668855</v>
      </c>
      <c r="X18" s="61">
        <f>'New Home Construction'!F32/1.07^X4</f>
        <v>1214915.2301162556</v>
      </c>
      <c r="Y18" s="61">
        <f>'New Home Construction'!F33/1.07^Y4</f>
        <v>1257540.1000036299</v>
      </c>
      <c r="Z18" s="61">
        <f>'New Home Construction'!F34/1.07^Z4</f>
        <v>1292811.7426833271</v>
      </c>
      <c r="AA18" s="61">
        <f>'New Home Construction'!F35/1.07^AA4</f>
        <v>1333953.6949482239</v>
      </c>
      <c r="AB18" s="61"/>
    </row>
    <row r="19" spans="1:28" x14ac:dyDescent="0.3">
      <c r="A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8" x14ac:dyDescent="0.3">
      <c r="A20" s="3" t="s">
        <v>11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/>
      <c r="W20"/>
      <c r="AA20" s="61">
        <f>(2500000/2)/1.07^AA4</f>
        <v>246433.27493599546</v>
      </c>
    </row>
    <row r="21" spans="1:28" x14ac:dyDescent="0.3">
      <c r="A21" s="7" t="s">
        <v>53</v>
      </c>
      <c r="D21" s="6"/>
      <c r="E21" s="3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/>
      <c r="W21"/>
      <c r="X21" s="30"/>
      <c r="AA21" s="23"/>
    </row>
    <row r="22" spans="1:28" x14ac:dyDescent="0.3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/>
      <c r="W22"/>
    </row>
    <row r="23" spans="1:28" x14ac:dyDescent="0.3">
      <c r="C23" s="2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5" spans="1:28" x14ac:dyDescent="0.3">
      <c r="A25" s="35" t="s">
        <v>16</v>
      </c>
      <c r="B25" s="36"/>
      <c r="C25" s="36"/>
    </row>
    <row r="26" spans="1:28" thickBot="1" x14ac:dyDescent="0.3">
      <c r="A26"/>
    </row>
    <row r="27" spans="1:28" x14ac:dyDescent="0.3">
      <c r="A27" s="22" t="s">
        <v>3</v>
      </c>
      <c r="B27" s="10"/>
      <c r="C27" s="11">
        <f>SUM(D7:AB7)</f>
        <v>-16986723.308889229</v>
      </c>
      <c r="H27" s="49"/>
    </row>
    <row r="28" spans="1:28" ht="12.5" x14ac:dyDescent="0.25">
      <c r="A28" s="12"/>
      <c r="B28" s="13"/>
      <c r="C28" s="14"/>
      <c r="H28" s="49"/>
    </row>
    <row r="29" spans="1:28" ht="12.5" x14ac:dyDescent="0.25">
      <c r="A29" s="12"/>
      <c r="B29" s="13"/>
      <c r="C29" s="14"/>
    </row>
    <row r="30" spans="1:28" ht="12.5" x14ac:dyDescent="0.25">
      <c r="A30" s="12" t="s">
        <v>4</v>
      </c>
      <c r="B30" s="13"/>
      <c r="C30" s="14">
        <f>SUM(H13:AA13)+SUM(H14:AA14)+SUM(H15:AA15)</f>
        <v>0</v>
      </c>
    </row>
    <row r="31" spans="1:28" ht="12.5" x14ac:dyDescent="0.25">
      <c r="A31" s="12" t="s">
        <v>5</v>
      </c>
      <c r="B31" s="13"/>
      <c r="C31" s="14">
        <f>SUM(E18:AA18)</f>
        <v>18194316.820882477</v>
      </c>
    </row>
    <row r="32" spans="1:28" ht="12.5" x14ac:dyDescent="0.25">
      <c r="A32" s="41" t="s">
        <v>23</v>
      </c>
      <c r="B32" s="13"/>
      <c r="C32" s="14"/>
    </row>
    <row r="33" spans="1:23" ht="12.5" x14ac:dyDescent="0.25">
      <c r="A33" s="41" t="s">
        <v>24</v>
      </c>
      <c r="B33" s="13"/>
      <c r="C33" s="14"/>
      <c r="D33" s="31"/>
    </row>
    <row r="34" spans="1:23" ht="12.5" x14ac:dyDescent="0.25">
      <c r="A34" s="12" t="s">
        <v>6</v>
      </c>
      <c r="B34" s="13"/>
      <c r="C34" s="14"/>
    </row>
    <row r="35" spans="1:23" ht="12.5" x14ac:dyDescent="0.25">
      <c r="A35" s="12" t="s">
        <v>7</v>
      </c>
      <c r="B35" s="13"/>
      <c r="C35" s="14">
        <f>AA20</f>
        <v>246433.27493599546</v>
      </c>
    </row>
    <row r="36" spans="1:23" ht="12.5" x14ac:dyDescent="0.25">
      <c r="A36" s="12" t="s">
        <v>20</v>
      </c>
      <c r="B36" s="13"/>
      <c r="C36" s="14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2.5" x14ac:dyDescent="0.25">
      <c r="A37" s="12"/>
      <c r="B37" s="13"/>
      <c r="C37" s="14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3">
      <c r="A38" s="15" t="s">
        <v>8</v>
      </c>
      <c r="B38" s="13"/>
      <c r="C38" s="14">
        <f>SUM(C30:C36)</f>
        <v>18440750.095818471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.5" x14ac:dyDescent="0.25">
      <c r="A39" s="12"/>
      <c r="B39" s="13"/>
      <c r="C39" s="14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3">
      <c r="A40" s="15" t="s">
        <v>9</v>
      </c>
      <c r="B40" s="13"/>
      <c r="C40" s="14">
        <f>C38+C27</f>
        <v>1454026.7869292423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5" x14ac:dyDescent="0.25">
      <c r="A41" s="12"/>
      <c r="B41" s="13"/>
      <c r="C41" s="16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3.5" thickBot="1" x14ac:dyDescent="0.35">
      <c r="A42" s="17" t="s">
        <v>10</v>
      </c>
      <c r="B42" s="18"/>
      <c r="C42" s="19">
        <f>C38/-C27</f>
        <v>1.0855978378224564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5" x14ac:dyDescent="0.25">
      <c r="A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5" x14ac:dyDescent="0.25">
      <c r="A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ht="12.5" x14ac:dyDescent="0.25">
      <c r="A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ht="12.5" x14ac:dyDescent="0.25">
      <c r="A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ht="12.5" x14ac:dyDescent="0.25">
      <c r="A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4.5" x14ac:dyDescent="0.35">
      <c r="A48" s="48"/>
      <c r="B48" s="42"/>
      <c r="C48" s="42"/>
      <c r="D48" s="45"/>
      <c r="E48" s="43"/>
    </row>
    <row r="49" spans="1:23" ht="14.5" x14ac:dyDescent="0.35">
      <c r="A49" s="44"/>
      <c r="B49" s="42"/>
      <c r="C49" s="42"/>
      <c r="D49" s="45"/>
      <c r="E49" s="4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C6" sqref="C6"/>
    </sheetView>
  </sheetViews>
  <sheetFormatPr defaultRowHeight="12.5" x14ac:dyDescent="0.25"/>
  <cols>
    <col min="1" max="1" width="41.7265625" customWidth="1"/>
    <col min="2" max="2" width="45.7265625" customWidth="1"/>
    <col min="3" max="3" width="37.7265625" customWidth="1"/>
  </cols>
  <sheetData>
    <row r="1" spans="1:3" ht="15.5" x14ac:dyDescent="0.35">
      <c r="A1" s="26" t="s">
        <v>25</v>
      </c>
    </row>
    <row r="2" spans="1:3" ht="13" thickBot="1" x14ac:dyDescent="0.3"/>
    <row r="3" spans="1:3" s="24" customFormat="1" ht="13" x14ac:dyDescent="0.3">
      <c r="A3" s="27" t="s">
        <v>13</v>
      </c>
      <c r="B3" s="28" t="s">
        <v>21</v>
      </c>
      <c r="C3" s="29" t="s">
        <v>14</v>
      </c>
    </row>
    <row r="4" spans="1:3" x14ac:dyDescent="0.25">
      <c r="A4" s="12"/>
      <c r="B4" s="13"/>
      <c r="C4" s="16"/>
    </row>
    <row r="5" spans="1:3" ht="75" x14ac:dyDescent="0.25">
      <c r="A5" s="50" t="s">
        <v>28</v>
      </c>
      <c r="B5" s="51" t="s">
        <v>29</v>
      </c>
      <c r="C5" s="52" t="s">
        <v>59</v>
      </c>
    </row>
    <row r="6" spans="1:3" s="25" customFormat="1" ht="75" customHeight="1" x14ac:dyDescent="0.25">
      <c r="A6" s="50" t="s">
        <v>30</v>
      </c>
      <c r="B6" s="51" t="s">
        <v>31</v>
      </c>
      <c r="C6" s="52" t="s">
        <v>32</v>
      </c>
    </row>
    <row r="7" spans="1:3" ht="50.5" thickBot="1" x14ac:dyDescent="0.3">
      <c r="A7" s="53" t="s">
        <v>33</v>
      </c>
      <c r="B7" s="54" t="s">
        <v>34</v>
      </c>
      <c r="C7" s="55" t="s">
        <v>52</v>
      </c>
    </row>
  </sheetData>
  <phoneticPr fontId="3" type="noConversion"/>
  <printOptions horizontalCentered="1"/>
  <pageMargins left="0.25" right="0.25" top="1" bottom="1" header="0.5" footer="0.5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9" workbookViewId="0">
      <selection activeCell="B12" sqref="B12"/>
    </sheetView>
  </sheetViews>
  <sheetFormatPr defaultRowHeight="12.5" x14ac:dyDescent="0.25"/>
  <cols>
    <col min="1" max="1" width="47" bestFit="1" customWidth="1"/>
    <col min="2" max="2" width="16.54296875" bestFit="1" customWidth="1"/>
    <col min="3" max="3" width="20.90625" bestFit="1" customWidth="1"/>
    <col min="4" max="4" width="14.1796875" bestFit="1" customWidth="1"/>
    <col min="5" max="5" width="24.7265625" bestFit="1" customWidth="1"/>
    <col min="6" max="6" width="19.36328125" bestFit="1" customWidth="1"/>
  </cols>
  <sheetData>
    <row r="1" spans="1:6" hidden="1" x14ac:dyDescent="0.25">
      <c r="B1" s="49"/>
      <c r="C1" s="57" t="s">
        <v>36</v>
      </c>
    </row>
    <row r="2" spans="1:6" hidden="1" x14ac:dyDescent="0.25">
      <c r="A2" s="31" t="s">
        <v>44</v>
      </c>
      <c r="B2" s="58">
        <v>150000</v>
      </c>
      <c r="C2" s="31" t="s">
        <v>37</v>
      </c>
    </row>
    <row r="3" spans="1:6" hidden="1" x14ac:dyDescent="0.25">
      <c r="A3" s="31" t="s">
        <v>43</v>
      </c>
      <c r="B3" s="49">
        <v>0.83199999999999996</v>
      </c>
      <c r="C3" s="31" t="s">
        <v>37</v>
      </c>
    </row>
    <row r="4" spans="1:6" hidden="1" x14ac:dyDescent="0.25">
      <c r="A4" s="31" t="s">
        <v>42</v>
      </c>
      <c r="B4" s="59" t="s">
        <v>35</v>
      </c>
      <c r="C4" s="31" t="s">
        <v>45</v>
      </c>
    </row>
    <row r="5" spans="1:6" hidden="1" x14ac:dyDescent="0.25">
      <c r="A5" s="31" t="s">
        <v>41</v>
      </c>
      <c r="B5" s="49">
        <v>1.5937400000000001E-2</v>
      </c>
      <c r="C5" s="31" t="s">
        <v>39</v>
      </c>
    </row>
    <row r="6" spans="1:6" hidden="1" x14ac:dyDescent="0.25">
      <c r="A6" s="31" t="s">
        <v>46</v>
      </c>
      <c r="B6" s="62">
        <v>81.62</v>
      </c>
      <c r="C6" s="31" t="s">
        <v>48</v>
      </c>
    </row>
    <row r="7" spans="1:6" hidden="1" x14ac:dyDescent="0.25">
      <c r="A7" s="31" t="s">
        <v>40</v>
      </c>
      <c r="B7" s="60">
        <v>2.2000000000000002</v>
      </c>
      <c r="C7" s="31" t="s">
        <v>37</v>
      </c>
    </row>
    <row r="8" spans="1:6" hidden="1" x14ac:dyDescent="0.25">
      <c r="A8" s="31" t="s">
        <v>47</v>
      </c>
      <c r="B8" s="60">
        <v>5</v>
      </c>
      <c r="C8" s="31" t="s">
        <v>49</v>
      </c>
    </row>
    <row r="9" spans="1:6" x14ac:dyDescent="0.25">
      <c r="A9" s="31"/>
      <c r="B9" s="60"/>
      <c r="C9" s="57" t="s">
        <v>36</v>
      </c>
    </row>
    <row r="10" spans="1:6" x14ac:dyDescent="0.25">
      <c r="A10" s="31" t="s">
        <v>56</v>
      </c>
      <c r="B10" s="63">
        <v>9583</v>
      </c>
      <c r="C10" s="31" t="s">
        <v>55</v>
      </c>
      <c r="D10">
        <v>1.03</v>
      </c>
    </row>
    <row r="11" spans="1:6" x14ac:dyDescent="0.25">
      <c r="A11" s="31" t="s">
        <v>47</v>
      </c>
      <c r="B11" s="64">
        <v>2</v>
      </c>
      <c r="C11" s="31"/>
    </row>
    <row r="12" spans="1:6" x14ac:dyDescent="0.25">
      <c r="A12" s="56" t="s">
        <v>60</v>
      </c>
      <c r="B12" s="56" t="s">
        <v>38</v>
      </c>
      <c r="C12" s="56" t="s">
        <v>50</v>
      </c>
      <c r="D12" s="56" t="s">
        <v>57</v>
      </c>
      <c r="E12" s="56" t="s">
        <v>58</v>
      </c>
      <c r="F12" s="56" t="s">
        <v>51</v>
      </c>
    </row>
    <row r="13" spans="1:6" x14ac:dyDescent="0.25">
      <c r="A13">
        <v>1</v>
      </c>
      <c r="B13">
        <v>3</v>
      </c>
      <c r="C13" s="61">
        <f>B10*1.05*1.05*1.05</f>
        <v>11093.520375</v>
      </c>
      <c r="D13" s="61">
        <f>C13*B13</f>
        <v>33280.561125</v>
      </c>
      <c r="E13" s="61">
        <f>D13*$B$11</f>
        <v>66561.12225</v>
      </c>
      <c r="F13" s="61">
        <f>E13+D13</f>
        <v>99841.683374999993</v>
      </c>
    </row>
    <row r="14" spans="1:6" x14ac:dyDescent="0.25">
      <c r="A14">
        <v>2</v>
      </c>
      <c r="B14">
        <v>3</v>
      </c>
      <c r="C14" s="61">
        <f>C13*$D$10</f>
        <v>11426.32598625</v>
      </c>
      <c r="D14" s="61">
        <f>(C14*B14)+D13</f>
        <v>67559.539083750002</v>
      </c>
      <c r="E14" s="61">
        <f t="shared" ref="E14:E35" si="0">D14*$B$11</f>
        <v>135119.0781675</v>
      </c>
      <c r="F14" s="61">
        <f t="shared" ref="F14:F35" si="1">E14+D14</f>
        <v>202678.61725125002</v>
      </c>
    </row>
    <row r="15" spans="1:6" x14ac:dyDescent="0.25">
      <c r="A15">
        <v>3</v>
      </c>
      <c r="B15">
        <v>3</v>
      </c>
      <c r="C15" s="61">
        <f t="shared" ref="C15:C35" si="2">C14*$D$10</f>
        <v>11769.1157658375</v>
      </c>
      <c r="D15" s="61">
        <f t="shared" ref="D15:D35" si="3">(C15*B15)+D14</f>
        <v>102866.88638126251</v>
      </c>
      <c r="E15" s="61">
        <f t="shared" si="0"/>
        <v>205733.77276252501</v>
      </c>
      <c r="F15" s="61">
        <f t="shared" si="1"/>
        <v>308600.65914378752</v>
      </c>
    </row>
    <row r="16" spans="1:6" x14ac:dyDescent="0.25">
      <c r="A16">
        <v>4</v>
      </c>
      <c r="B16">
        <v>3</v>
      </c>
      <c r="C16" s="61">
        <f t="shared" si="2"/>
        <v>12122.189238812625</v>
      </c>
      <c r="D16" s="61">
        <f t="shared" si="3"/>
        <v>139233.45409770036</v>
      </c>
      <c r="E16" s="61">
        <f t="shared" si="0"/>
        <v>278466.90819540073</v>
      </c>
      <c r="F16" s="61">
        <f t="shared" si="1"/>
        <v>417700.36229310109</v>
      </c>
    </row>
    <row r="17" spans="1:6" x14ac:dyDescent="0.25">
      <c r="A17">
        <v>5</v>
      </c>
      <c r="B17">
        <v>4</v>
      </c>
      <c r="C17" s="61">
        <f t="shared" si="2"/>
        <v>12485.854915977005</v>
      </c>
      <c r="D17" s="61">
        <f t="shared" si="3"/>
        <v>189176.87376160838</v>
      </c>
      <c r="E17" s="61">
        <f t="shared" si="0"/>
        <v>378353.74752321676</v>
      </c>
      <c r="F17" s="61">
        <f t="shared" si="1"/>
        <v>567530.62128482515</v>
      </c>
    </row>
    <row r="18" spans="1:6" x14ac:dyDescent="0.25">
      <c r="A18">
        <v>6</v>
      </c>
      <c r="B18">
        <v>4</v>
      </c>
      <c r="C18" s="61">
        <f t="shared" si="2"/>
        <v>12860.430563456315</v>
      </c>
      <c r="D18" s="61">
        <f t="shared" si="3"/>
        <v>240618.59601543364</v>
      </c>
      <c r="E18" s="61">
        <f t="shared" si="0"/>
        <v>481237.19203086727</v>
      </c>
      <c r="F18" s="61">
        <f t="shared" si="1"/>
        <v>721855.78804630088</v>
      </c>
    </row>
    <row r="19" spans="1:6" x14ac:dyDescent="0.25">
      <c r="A19">
        <v>7</v>
      </c>
      <c r="B19">
        <v>4</v>
      </c>
      <c r="C19" s="61">
        <f t="shared" si="2"/>
        <v>13246.243480360004</v>
      </c>
      <c r="D19" s="61">
        <f t="shared" si="3"/>
        <v>293603.56993687362</v>
      </c>
      <c r="E19" s="61">
        <f t="shared" si="0"/>
        <v>587207.13987374725</v>
      </c>
      <c r="F19" s="61">
        <f t="shared" si="1"/>
        <v>880810.70981062087</v>
      </c>
    </row>
    <row r="20" spans="1:6" x14ac:dyDescent="0.25">
      <c r="A20">
        <v>8</v>
      </c>
      <c r="B20">
        <v>5</v>
      </c>
      <c r="C20" s="61">
        <f t="shared" si="2"/>
        <v>13643.630784770805</v>
      </c>
      <c r="D20" s="61">
        <f t="shared" si="3"/>
        <v>361821.72386072762</v>
      </c>
      <c r="E20" s="61">
        <f t="shared" si="0"/>
        <v>723643.44772145525</v>
      </c>
      <c r="F20" s="61">
        <f t="shared" si="1"/>
        <v>1085465.1715821829</v>
      </c>
    </row>
    <row r="21" spans="1:6" x14ac:dyDescent="0.25">
      <c r="A21">
        <v>9</v>
      </c>
      <c r="B21">
        <v>5</v>
      </c>
      <c r="C21" s="61">
        <f t="shared" si="2"/>
        <v>14052.93970831393</v>
      </c>
      <c r="D21" s="61">
        <f t="shared" si="3"/>
        <v>432086.42240229726</v>
      </c>
      <c r="E21" s="61">
        <f t="shared" si="0"/>
        <v>864172.84480459453</v>
      </c>
      <c r="F21" s="61">
        <f t="shared" si="1"/>
        <v>1296259.2672068919</v>
      </c>
    </row>
    <row r="22" spans="1:6" x14ac:dyDescent="0.25">
      <c r="A22">
        <v>10</v>
      </c>
      <c r="B22">
        <v>5</v>
      </c>
      <c r="C22" s="61">
        <f t="shared" si="2"/>
        <v>14474.527899563349</v>
      </c>
      <c r="D22" s="61">
        <f t="shared" si="3"/>
        <v>504459.061900114</v>
      </c>
      <c r="E22" s="61">
        <f t="shared" si="0"/>
        <v>1008918.123800228</v>
      </c>
      <c r="F22" s="61">
        <f t="shared" si="1"/>
        <v>1513377.1857003421</v>
      </c>
    </row>
    <row r="23" spans="1:6" x14ac:dyDescent="0.25">
      <c r="A23">
        <v>11</v>
      </c>
      <c r="B23">
        <v>6</v>
      </c>
      <c r="C23" s="61">
        <f t="shared" si="2"/>
        <v>14908.763736550251</v>
      </c>
      <c r="D23" s="61">
        <f t="shared" si="3"/>
        <v>593911.64431941556</v>
      </c>
      <c r="E23" s="61">
        <f t="shared" si="0"/>
        <v>1187823.2886388311</v>
      </c>
      <c r="F23" s="61">
        <f t="shared" si="1"/>
        <v>1781734.9329582467</v>
      </c>
    </row>
    <row r="24" spans="1:6" x14ac:dyDescent="0.25">
      <c r="A24">
        <v>12</v>
      </c>
      <c r="B24">
        <v>6</v>
      </c>
      <c r="C24" s="61">
        <f t="shared" si="2"/>
        <v>15356.026648646759</v>
      </c>
      <c r="D24" s="61">
        <f t="shared" si="3"/>
        <v>686047.80421129614</v>
      </c>
      <c r="E24" s="61">
        <f t="shared" si="0"/>
        <v>1372095.6084225923</v>
      </c>
      <c r="F24" s="61">
        <f t="shared" si="1"/>
        <v>2058143.4126338884</v>
      </c>
    </row>
    <row r="25" spans="1:6" x14ac:dyDescent="0.25">
      <c r="A25">
        <v>13</v>
      </c>
      <c r="B25">
        <v>6</v>
      </c>
      <c r="C25" s="61">
        <f t="shared" si="2"/>
        <v>15816.707448106163</v>
      </c>
      <c r="D25" s="61">
        <f t="shared" si="3"/>
        <v>780948.04889993311</v>
      </c>
      <c r="E25" s="61">
        <f t="shared" si="0"/>
        <v>1561896.0977998662</v>
      </c>
      <c r="F25" s="61">
        <f t="shared" si="1"/>
        <v>2342844.1466997992</v>
      </c>
    </row>
    <row r="26" spans="1:6" x14ac:dyDescent="0.25">
      <c r="A26">
        <v>14</v>
      </c>
      <c r="B26">
        <v>6</v>
      </c>
      <c r="C26" s="61">
        <f t="shared" si="2"/>
        <v>16291.208671549348</v>
      </c>
      <c r="D26" s="61">
        <f t="shared" si="3"/>
        <v>878695.30092922924</v>
      </c>
      <c r="E26" s="61">
        <f t="shared" si="0"/>
        <v>1757390.6018584585</v>
      </c>
      <c r="F26" s="61">
        <f t="shared" si="1"/>
        <v>2636085.9027876877</v>
      </c>
    </row>
    <row r="27" spans="1:6" x14ac:dyDescent="0.25">
      <c r="A27">
        <v>15</v>
      </c>
      <c r="B27">
        <v>7</v>
      </c>
      <c r="C27" s="61">
        <f t="shared" si="2"/>
        <v>16779.944931695827</v>
      </c>
      <c r="D27" s="61">
        <f t="shared" si="3"/>
        <v>996154.9154511001</v>
      </c>
      <c r="E27" s="61">
        <f t="shared" si="0"/>
        <v>1992309.8309022002</v>
      </c>
      <c r="F27" s="61">
        <f t="shared" si="1"/>
        <v>2988464.7463533003</v>
      </c>
    </row>
    <row r="28" spans="1:6" x14ac:dyDescent="0.25">
      <c r="A28">
        <v>16</v>
      </c>
      <c r="B28">
        <v>7</v>
      </c>
      <c r="C28" s="61">
        <f t="shared" si="2"/>
        <v>17283.343279646702</v>
      </c>
      <c r="D28" s="61">
        <f t="shared" si="3"/>
        <v>1117138.3184086271</v>
      </c>
      <c r="E28" s="61">
        <f t="shared" si="0"/>
        <v>2234276.6368172541</v>
      </c>
      <c r="F28" s="61">
        <f t="shared" si="1"/>
        <v>3351414.9552258812</v>
      </c>
    </row>
    <row r="29" spans="1:6" x14ac:dyDescent="0.25">
      <c r="A29">
        <v>17</v>
      </c>
      <c r="B29">
        <v>7</v>
      </c>
      <c r="C29" s="61">
        <f t="shared" si="2"/>
        <v>17801.843578036103</v>
      </c>
      <c r="D29" s="61">
        <f t="shared" si="3"/>
        <v>1241751.2234548798</v>
      </c>
      <c r="E29" s="61">
        <f t="shared" si="0"/>
        <v>2483502.4469097597</v>
      </c>
      <c r="F29" s="61">
        <f t="shared" si="1"/>
        <v>3725253.6703646397</v>
      </c>
    </row>
    <row r="30" spans="1:6" x14ac:dyDescent="0.25">
      <c r="A30">
        <v>18</v>
      </c>
      <c r="B30">
        <v>7</v>
      </c>
      <c r="C30" s="61">
        <f t="shared" si="2"/>
        <v>18335.898885377188</v>
      </c>
      <c r="D30" s="61">
        <f t="shared" si="3"/>
        <v>1370102.5156525201</v>
      </c>
      <c r="E30" s="61">
        <f t="shared" si="0"/>
        <v>2740205.0313050402</v>
      </c>
      <c r="F30" s="61">
        <f t="shared" si="1"/>
        <v>4110307.5469575603</v>
      </c>
    </row>
    <row r="31" spans="1:6" x14ac:dyDescent="0.25">
      <c r="A31">
        <v>19</v>
      </c>
      <c r="B31">
        <v>8</v>
      </c>
      <c r="C31" s="61">
        <f t="shared" si="2"/>
        <v>18885.975851938503</v>
      </c>
      <c r="D31" s="61">
        <f t="shared" si="3"/>
        <v>1521190.3224680282</v>
      </c>
      <c r="E31" s="61">
        <f t="shared" si="0"/>
        <v>3042380.6449360563</v>
      </c>
      <c r="F31" s="61">
        <f t="shared" si="1"/>
        <v>4563570.9674040843</v>
      </c>
    </row>
    <row r="32" spans="1:6" x14ac:dyDescent="0.25">
      <c r="A32">
        <v>20</v>
      </c>
      <c r="B32">
        <v>8</v>
      </c>
      <c r="C32" s="61">
        <f t="shared" si="2"/>
        <v>19452.55512749666</v>
      </c>
      <c r="D32" s="61">
        <f t="shared" si="3"/>
        <v>1676810.7634880014</v>
      </c>
      <c r="E32" s="61">
        <f t="shared" si="0"/>
        <v>3353621.5269760028</v>
      </c>
      <c r="F32" s="61">
        <f t="shared" si="1"/>
        <v>5030432.2904640045</v>
      </c>
    </row>
    <row r="33" spans="1:6" x14ac:dyDescent="0.25">
      <c r="A33">
        <v>21</v>
      </c>
      <c r="B33">
        <v>9</v>
      </c>
      <c r="C33" s="61">
        <f t="shared" si="2"/>
        <v>20036.131781321561</v>
      </c>
      <c r="D33" s="61">
        <f t="shared" si="3"/>
        <v>1857135.9495198955</v>
      </c>
      <c r="E33" s="61">
        <f t="shared" si="0"/>
        <v>3714271.899039791</v>
      </c>
      <c r="F33" s="61">
        <f t="shared" si="1"/>
        <v>5571407.8485596869</v>
      </c>
    </row>
    <row r="34" spans="1:6" x14ac:dyDescent="0.25">
      <c r="A34">
        <v>22</v>
      </c>
      <c r="B34">
        <v>9</v>
      </c>
      <c r="C34" s="61">
        <f t="shared" si="2"/>
        <v>20637.215734761208</v>
      </c>
      <c r="D34" s="61">
        <f t="shared" si="3"/>
        <v>2042870.8911327464</v>
      </c>
      <c r="E34" s="61">
        <f t="shared" si="0"/>
        <v>4085741.7822654927</v>
      </c>
      <c r="F34" s="61">
        <f t="shared" si="1"/>
        <v>6128612.6733982395</v>
      </c>
    </row>
    <row r="35" spans="1:6" x14ac:dyDescent="0.25">
      <c r="A35">
        <v>23</v>
      </c>
      <c r="B35">
        <v>10</v>
      </c>
      <c r="C35" s="61">
        <f t="shared" si="2"/>
        <v>21256.332206804043</v>
      </c>
      <c r="D35" s="61">
        <f t="shared" si="3"/>
        <v>2255434.2132007866</v>
      </c>
      <c r="E35" s="61">
        <f t="shared" si="0"/>
        <v>4510868.4264015732</v>
      </c>
      <c r="F35" s="61">
        <f t="shared" si="1"/>
        <v>6766302.6396023594</v>
      </c>
    </row>
    <row r="36" spans="1:6" x14ac:dyDescent="0.25">
      <c r="B36">
        <f>SUM(B13:B35)</f>
        <v>135</v>
      </c>
      <c r="C36" s="61">
        <f>SUM(C13:C35)</f>
        <v>360016.72660027188</v>
      </c>
      <c r="D36" s="61">
        <f>SUM(D13:D35)</f>
        <v>19382898.599701226</v>
      </c>
      <c r="E36" s="61">
        <f>SUM(E13:E35)</f>
        <v>38765797.199402452</v>
      </c>
      <c r="F36" s="61">
        <f>SUM(F13:F35)</f>
        <v>58148695.799103677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7% With Grant</vt:lpstr>
      <vt:lpstr>Project Matrix</vt:lpstr>
      <vt:lpstr>New Home Construction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odot26k</dc:creator>
  <cp:lastModifiedBy>Nicholas Green</cp:lastModifiedBy>
  <cp:lastPrinted>2018-07-13T22:49:06Z</cp:lastPrinted>
  <dcterms:created xsi:type="dcterms:W3CDTF">2010-08-12T22:43:51Z</dcterms:created>
  <dcterms:modified xsi:type="dcterms:W3CDTF">2020-05-18T19:14:11Z</dcterms:modified>
</cp:coreProperties>
</file>